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fromtherm\DOCUMENTOS DA QUALIDADE\PO.02 - COMERCIAL\ANEXOS\"/>
    </mc:Choice>
  </mc:AlternateContent>
  <bookViews>
    <workbookView xWindow="0" yWindow="0" windowWidth="16815" windowHeight="7650"/>
  </bookViews>
  <sheets>
    <sheet name="FECHADA" sheetId="1" r:id="rId1"/>
    <sheet name="ABERTA" sheetId="4" r:id="rId2"/>
  </sheets>
  <calcPr calcId="162913"/>
</workbook>
</file>

<file path=xl/calcChain.xml><?xml version="1.0" encoding="utf-8"?>
<calcChain xmlns="http://schemas.openxmlformats.org/spreadsheetml/2006/main">
  <c r="D7" i="1" l="1"/>
  <c r="F22" i="1" l="1"/>
  <c r="F19" i="1"/>
  <c r="F16" i="1"/>
  <c r="F13" i="1"/>
  <c r="B24" i="1"/>
  <c r="B23" i="1"/>
  <c r="B21" i="1"/>
  <c r="B20" i="1"/>
  <c r="B18" i="1"/>
  <c r="B17" i="1"/>
  <c r="B15" i="1"/>
  <c r="B14" i="1"/>
  <c r="B26" i="4"/>
  <c r="B25" i="4"/>
  <c r="B23" i="4"/>
  <c r="B22" i="4"/>
  <c r="B20" i="4"/>
  <c r="B19" i="4"/>
  <c r="B17" i="4"/>
  <c r="B16" i="4"/>
  <c r="L11" i="1"/>
  <c r="L9" i="1"/>
  <c r="I13" i="4"/>
  <c r="I11" i="4"/>
  <c r="N3" i="4"/>
  <c r="K7" i="4"/>
  <c r="N7" i="4" l="1"/>
  <c r="F24" i="4" s="1"/>
  <c r="F23" i="4"/>
  <c r="F16" i="4"/>
  <c r="F22" i="4" l="1"/>
  <c r="F26" i="4"/>
  <c r="F25" i="4"/>
  <c r="F18" i="4"/>
  <c r="F17" i="4"/>
  <c r="F15" i="4"/>
  <c r="F20" i="4"/>
  <c r="F19" i="4"/>
  <c r="F21" i="4"/>
  <c r="I9" i="4"/>
  <c r="D9" i="4"/>
  <c r="L7" i="1"/>
  <c r="F20" i="1"/>
  <c r="F21" i="1"/>
  <c r="F23" i="1"/>
  <c r="F24" i="1"/>
  <c r="F15" i="1"/>
  <c r="F14" i="1"/>
  <c r="F18" i="1"/>
  <c r="F17" i="1"/>
  <c r="C16" i="1" l="1"/>
  <c r="L16" i="1" s="1"/>
  <c r="C19" i="1"/>
  <c r="C21" i="4"/>
  <c r="C24" i="4"/>
  <c r="C25" i="4" s="1"/>
  <c r="C15" i="4"/>
  <c r="C18" i="4"/>
  <c r="C13" i="1"/>
  <c r="C23" i="1"/>
  <c r="L23" i="1" s="1"/>
  <c r="C24" i="1"/>
  <c r="C20" i="1"/>
  <c r="C18" i="1"/>
  <c r="C15" i="1"/>
  <c r="C21" i="1"/>
  <c r="C17" i="1"/>
  <c r="L17" i="1" s="1"/>
  <c r="C14" i="1"/>
  <c r="L14" i="1" s="1"/>
  <c r="C22" i="1"/>
  <c r="P10" i="4"/>
  <c r="D11" i="4" s="1"/>
  <c r="L12" i="4"/>
  <c r="S8" i="1"/>
  <c r="D9" i="1" s="1"/>
  <c r="O10" i="1"/>
  <c r="L13" i="1" l="1"/>
  <c r="C26" i="1"/>
  <c r="L26" i="1" s="1"/>
  <c r="C26" i="4"/>
  <c r="I26" i="4" s="1"/>
  <c r="U8" i="1"/>
  <c r="D11" i="1" s="1"/>
  <c r="R10" i="4"/>
  <c r="D13" i="4" s="1"/>
  <c r="C16" i="4"/>
  <c r="D16" i="4" s="1"/>
  <c r="C17" i="4"/>
  <c r="D17" i="4" s="1"/>
  <c r="C22" i="4"/>
  <c r="I22" i="4" s="1"/>
  <c r="C23" i="4"/>
  <c r="C19" i="4"/>
  <c r="I19" i="4" s="1"/>
  <c r="C20" i="4"/>
  <c r="D20" i="4" s="1"/>
  <c r="I21" i="4"/>
  <c r="D25" i="4"/>
  <c r="D18" i="4"/>
  <c r="I18" i="4"/>
  <c r="D15" i="4"/>
  <c r="I15" i="4"/>
  <c r="D21" i="4"/>
  <c r="D14" i="1"/>
  <c r="D18" i="1"/>
  <c r="L18" i="1"/>
  <c r="D20" i="1"/>
  <c r="L20" i="1"/>
  <c r="D22" i="1"/>
  <c r="L22" i="1"/>
  <c r="D15" i="1"/>
  <c r="L15" i="1"/>
  <c r="D19" i="1"/>
  <c r="L19" i="1"/>
  <c r="D24" i="1"/>
  <c r="L24" i="1"/>
  <c r="D21" i="1"/>
  <c r="L21" i="1"/>
  <c r="D16" i="1"/>
  <c r="D23" i="1"/>
  <c r="D13" i="1"/>
  <c r="C25" i="1"/>
  <c r="D17" i="1"/>
  <c r="D26" i="1" l="1"/>
  <c r="I17" i="4"/>
  <c r="D19" i="4"/>
  <c r="I16" i="4"/>
  <c r="I20" i="4"/>
  <c r="D26" i="4"/>
  <c r="C27" i="4"/>
  <c r="C28" i="4" s="1"/>
  <c r="I28" i="4" s="1"/>
  <c r="D23" i="4"/>
  <c r="I23" i="4"/>
  <c r="I24" i="4"/>
  <c r="D24" i="4"/>
  <c r="I25" i="4"/>
  <c r="D22" i="4"/>
  <c r="D25" i="1"/>
  <c r="D27" i="4" l="1"/>
  <c r="D28" i="4" s="1"/>
  <c r="D32" i="4" s="1"/>
  <c r="D34" i="4" s="1"/>
</calcChain>
</file>

<file path=xl/sharedStrings.xml><?xml version="1.0" encoding="utf-8"?>
<sst xmlns="http://schemas.openxmlformats.org/spreadsheetml/2006/main" count="163" uniqueCount="75">
  <si>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</si>
  <si>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</si>
  <si>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</si>
  <si>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</si>
  <si>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</si>
  <si>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</si>
  <si>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</si>
  <si>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</si>
  <si>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SETEMBO</t>
  </si>
  <si>
    <t>OUTUBRO</t>
  </si>
  <si>
    <t>NOVEMBRO</t>
  </si>
  <si>
    <t>DEZEMBRO</t>
  </si>
  <si>
    <t>LARGURA (M)</t>
  </si>
  <si>
    <t>COMPRIMENTO (M)</t>
  </si>
  <si>
    <t>PROFUNDIDADE (M)</t>
  </si>
  <si>
    <r>
      <t xml:space="preserve">TEMPERATURA DESEJADA </t>
    </r>
    <r>
      <rPr>
        <sz val="11"/>
        <color theme="1"/>
        <rFont val="Calibri"/>
        <family val="2"/>
      </rPr>
      <t>°C</t>
    </r>
  </si>
  <si>
    <t>DIFERENCA</t>
  </si>
  <si>
    <t>AREA M2</t>
  </si>
  <si>
    <t>KW/H MES</t>
  </si>
  <si>
    <t>VALOR DO KW/h</t>
  </si>
  <si>
    <r>
      <t xml:space="preserve">TEMPERATURA AMBIENTE MÉDIA </t>
    </r>
    <r>
      <rPr>
        <sz val="11"/>
        <color theme="1"/>
        <rFont val="Calibri"/>
        <family val="2"/>
      </rPr>
      <t>°C</t>
    </r>
  </si>
  <si>
    <t>DIMENSIONAMENTO FROMTHERM PARA PISCINA FECHADA</t>
  </si>
  <si>
    <t>ORIENTAÇÃO</t>
  </si>
  <si>
    <r>
      <t>AREA M</t>
    </r>
    <r>
      <rPr>
        <sz val="11"/>
        <color theme="1"/>
        <rFont val="Calibri"/>
        <family val="2"/>
      </rPr>
      <t>²</t>
    </r>
  </si>
  <si>
    <t>MÉDIA MENSAL</t>
  </si>
  <si>
    <t>PARA COMPARAÇÃO COM GÁS INFORMAR PREÇO R$ Kg</t>
  </si>
  <si>
    <t>DIMENSIONAMENTO FROMTHERM PARA PISCINA ABERTA</t>
  </si>
  <si>
    <t>CLIENTE</t>
  </si>
  <si>
    <t>REVENDA</t>
  </si>
  <si>
    <t xml:space="preserve">    EM AMARELO SÃO OS RESULTADOS.</t>
  </si>
  <si>
    <t xml:space="preserve">   PREENCHER QUADROS EM AZUL </t>
  </si>
  <si>
    <t>CONSUMO DE  KW/h POR MES</t>
  </si>
  <si>
    <t>CUSTO DE ENERGIA ELETRICA  POR MES</t>
  </si>
  <si>
    <t>CUSTO DE GÁS POR  MES</t>
  </si>
  <si>
    <t>MESES DO ANO</t>
  </si>
  <si>
    <t>MODELO RECOMENDADO</t>
  </si>
  <si>
    <t>TEMPERATURA MÉDIA DOS DIAS MAIS FRIOS QUE SERA USADA.</t>
  </si>
  <si>
    <t>TEMPERATURA</t>
  </si>
  <si>
    <t>FATOR</t>
  </si>
  <si>
    <t>REFERENCIA PARA DIMENSIONAMENTO  PISCINA FECHACA 32 M2 E 45 M3 4X8</t>
  </si>
  <si>
    <t>a</t>
  </si>
  <si>
    <t>2x120</t>
  </si>
  <si>
    <t>2x160</t>
  </si>
  <si>
    <t>3x160</t>
  </si>
  <si>
    <t>a                   2699</t>
  </si>
  <si>
    <t>FATOR + 18%</t>
  </si>
  <si>
    <t>N° MULTIP. ABERTA</t>
  </si>
  <si>
    <t>INCIDENCIA DE VENTO</t>
  </si>
  <si>
    <t>ORIENTAÇÃO PARA PREENCHIMENTO</t>
  </si>
  <si>
    <t>INCIDENCIA DE SOL</t>
  </si>
  <si>
    <r>
      <t>VOLUME M</t>
    </r>
    <r>
      <rPr>
        <sz val="11"/>
        <color theme="1"/>
        <rFont val="Calibri"/>
        <family val="2"/>
      </rPr>
      <t>³</t>
    </r>
  </si>
  <si>
    <t>VENTO</t>
  </si>
  <si>
    <t>SOL</t>
  </si>
  <si>
    <t>MODELO  CALCULADO                                      (MENOR POSSIVEL)</t>
  </si>
  <si>
    <t xml:space="preserve">    PREENCHER QUADROS EM AZUL </t>
  </si>
  <si>
    <t xml:space="preserve">VALOR ENTRE( 1) E (12) DE ACORDO COM HORAS DE SOL                       POR DIA SOBRE A PISCINA </t>
  </si>
  <si>
    <t>CUSTO PARA IMPLANTAÇÃO</t>
  </si>
  <si>
    <t xml:space="preserve">COMPARAÇÃO DE CUSTOS ENTRE GÁS E BOMBA DE CALOR </t>
  </si>
  <si>
    <t>MESES</t>
  </si>
  <si>
    <t>AQUECIMENT   COM  GÁS</t>
  </si>
  <si>
    <t>AQUEC. COM  BOMBA DE CALOR</t>
  </si>
  <si>
    <t>VALOR ECOMOMIZADO EM 10 ANOS</t>
  </si>
  <si>
    <r>
      <t xml:space="preserve">TEMPERATURA DESEJADA </t>
    </r>
    <r>
      <rPr>
        <sz val="12"/>
        <color theme="1"/>
        <rFont val="Calibri"/>
        <family val="2"/>
      </rPr>
      <t>°C</t>
    </r>
  </si>
  <si>
    <r>
      <t xml:space="preserve">TEMPERATURA AMBIENTE MÉDIA </t>
    </r>
    <r>
      <rPr>
        <sz val="12"/>
        <color theme="1"/>
        <rFont val="Calibri"/>
        <family val="2"/>
      </rPr>
      <t>°C</t>
    </r>
  </si>
  <si>
    <t>RETORNO DO INVESTIMENTO  (DIFERENÇA)</t>
  </si>
  <si>
    <t>VERÃO</t>
  </si>
  <si>
    <t>INVERNO</t>
  </si>
  <si>
    <t>PRIMAVERA</t>
  </si>
  <si>
    <t>OUTONO</t>
  </si>
  <si>
    <t>FATOR + 10%</t>
  </si>
  <si>
    <t>(1) SEM VENTO.   (2) VENTO MODERADO.  (3) VENTO FORTE.</t>
  </si>
  <si>
    <t>MODELO  CALCULADO    (MENOR POSSIVEL)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</si>
  <si>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</si>
  <si>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</t>
  </si>
  <si>
    <t>REVISÃO: 06_DATA:01/07/2020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</si>
</sst>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44" fontId="0" fillId="4" borderId="1" xfId="1" applyFon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/>
    </xf>
    <xf numFmtId="1" fontId="0" fillId="4" borderId="5" xfId="0" applyNumberFormat="1" applyFill="1" applyBorder="1" applyAlignment="1">
      <alignment horizontal="center" vertical="center"/>
    </xf>
    <xf numFmtId="44" fontId="0" fillId="4" borderId="5" xfId="0" applyNumberFormat="1" applyFill="1" applyBorder="1"/>
    <xf numFmtId="44" fontId="0" fillId="4" borderId="1" xfId="0" applyNumberFormat="1" applyFill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3" fillId="4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44" fontId="0" fillId="0" borderId="5" xfId="1" applyFont="1" applyBorder="1"/>
    <xf numFmtId="44" fontId="5" fillId="5" borderId="7" xfId="0" applyNumberFormat="1" applyFont="1" applyFill="1" applyBorder="1" applyAlignment="1">
      <alignment vertical="center"/>
    </xf>
    <xf numFmtId="44" fontId="5" fillId="0" borderId="4" xfId="1" applyFont="1" applyBorder="1" applyAlignment="1">
      <alignment vertical="center"/>
    </xf>
    <xf numFmtId="1" fontId="5" fillId="5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44" fontId="1" fillId="5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4" xfId="1" applyFont="1" applyBorder="1" applyAlignment="1">
      <alignment vertical="center"/>
    </xf>
    <xf numFmtId="1" fontId="1" fillId="5" borderId="4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vertical="center"/>
    </xf>
    <xf numFmtId="2" fontId="5" fillId="4" borderId="3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2" fontId="12" fillId="4" borderId="9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4" fontId="0" fillId="4" borderId="1" xfId="1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44" fontId="7" fillId="2" borderId="1" xfId="1" applyFont="1" applyFill="1" applyBorder="1" applyAlignment="1" applyProtection="1">
      <alignment horizontal="center" vertical="center"/>
      <protection locked="0"/>
    </xf>
    <xf numFmtId="164" fontId="13" fillId="4" borderId="0" xfId="0" applyNumberFormat="1" applyFont="1" applyFill="1" applyBorder="1" applyAlignment="1">
      <alignment vertical="center"/>
    </xf>
    <xf numFmtId="44" fontId="1" fillId="10" borderId="2" xfId="1" applyFont="1" applyFill="1" applyBorder="1" applyProtection="1">
      <protection locked="0"/>
    </xf>
    <xf numFmtId="44" fontId="1" fillId="10" borderId="1" xfId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Alignment="1">
      <alignment vertical="center"/>
    </xf>
    <xf numFmtId="2" fontId="13" fillId="4" borderId="0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65" fontId="0" fillId="0" borderId="0" xfId="0" applyNumberFormat="1"/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7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2" fontId="2" fillId="4" borderId="15" xfId="0" applyNumberFormat="1" applyFont="1" applyFill="1" applyBorder="1" applyAlignment="1">
      <alignment horizontal="center" vertical="center"/>
    </xf>
    <xf numFmtId="2" fontId="5" fillId="4" borderId="38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/>
    <xf numFmtId="0" fontId="8" fillId="0" borderId="42" xfId="0" applyFont="1" applyBorder="1" applyAlignment="1">
      <alignment horizontal="center" vertical="center" wrapText="1"/>
    </xf>
    <xf numFmtId="0" fontId="0" fillId="3" borderId="32" xfId="0" applyFill="1" applyBorder="1" applyAlignment="1">
      <alignment horizontal="left" vertical="center"/>
    </xf>
    <xf numFmtId="164" fontId="0" fillId="0" borderId="0" xfId="0" applyNumberFormat="1" applyBorder="1"/>
    <xf numFmtId="0" fontId="0" fillId="0" borderId="0" xfId="0" applyBorder="1"/>
    <xf numFmtId="44" fontId="0" fillId="4" borderId="33" xfId="0" applyNumberFormat="1" applyFill="1" applyBorder="1"/>
    <xf numFmtId="44" fontId="0" fillId="4" borderId="33" xfId="1" applyFont="1" applyFill="1" applyBorder="1"/>
    <xf numFmtId="0" fontId="0" fillId="3" borderId="32" xfId="0" applyFill="1" applyBorder="1" applyAlignment="1">
      <alignment horizontal="left"/>
    </xf>
    <xf numFmtId="0" fontId="0" fillId="0" borderId="43" xfId="0" applyBorder="1" applyAlignment="1">
      <alignment horizontal="left"/>
    </xf>
    <xf numFmtId="44" fontId="0" fillId="0" borderId="14" xfId="1" applyFont="1" applyBorder="1"/>
    <xf numFmtId="0" fontId="5" fillId="0" borderId="44" xfId="0" applyFont="1" applyBorder="1" applyAlignment="1">
      <alignment vertical="center"/>
    </xf>
    <xf numFmtId="0" fontId="10" fillId="8" borderId="23" xfId="0" applyFont="1" applyFill="1" applyBorder="1" applyAlignment="1">
      <alignment vertical="center" wrapText="1"/>
    </xf>
    <xf numFmtId="0" fontId="10" fillId="8" borderId="28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4" fillId="5" borderId="41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center" vertical="center" wrapText="1"/>
      <protection locked="0"/>
    </xf>
    <xf numFmtId="2" fontId="8" fillId="5" borderId="9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5" borderId="3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 applyProtection="1">
      <alignment horizontal="center" vertical="center" wrapText="1"/>
      <protection locked="0"/>
    </xf>
    <xf numFmtId="0" fontId="8" fillId="7" borderId="19" xfId="0" applyFont="1" applyFill="1" applyBorder="1" applyAlignment="1" applyProtection="1">
      <alignment horizontal="center" vertical="center" wrapText="1"/>
      <protection locked="0"/>
    </xf>
    <xf numFmtId="0" fontId="8" fillId="7" borderId="20" xfId="0" applyFont="1" applyFill="1" applyBorder="1" applyAlignment="1" applyProtection="1">
      <alignment horizontal="center" vertical="center" wrapText="1"/>
      <protection locked="0"/>
    </xf>
    <xf numFmtId="0" fontId="8" fillId="7" borderId="28" xfId="0" applyFont="1" applyFill="1" applyBorder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center" wrapText="1"/>
      <protection locked="0"/>
    </xf>
    <xf numFmtId="0" fontId="8" fillId="7" borderId="24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44" fontId="13" fillId="4" borderId="28" xfId="0" applyNumberFormat="1" applyFont="1" applyFill="1" applyBorder="1" applyAlignment="1">
      <alignment horizontal="center" vertical="center"/>
    </xf>
    <xf numFmtId="44" fontId="13" fillId="4" borderId="23" xfId="0" applyNumberFormat="1" applyFont="1" applyFill="1" applyBorder="1" applyAlignment="1">
      <alignment horizontal="center" vertical="center"/>
    </xf>
    <xf numFmtId="44" fontId="13" fillId="4" borderId="24" xfId="0" applyNumberFormat="1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right" vertical="center"/>
    </xf>
    <xf numFmtId="164" fontId="13" fillId="4" borderId="29" xfId="0" applyNumberFormat="1" applyFont="1" applyFill="1" applyBorder="1" applyAlignment="1">
      <alignment horizontal="left" vertical="center"/>
    </xf>
    <xf numFmtId="164" fontId="13" fillId="4" borderId="12" xfId="0" applyNumberFormat="1" applyFont="1" applyFill="1" applyBorder="1" applyAlignment="1">
      <alignment horizontal="left" vertical="center"/>
    </xf>
    <xf numFmtId="164" fontId="13" fillId="4" borderId="36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170449</xdr:colOff>
      <xdr:row>0</xdr:row>
      <xdr:rowOff>20052</xdr:rowOff>
    </xdr:from>
    <xdr:to>
      <xdr:col>1</xdr:col>
      <xdr:colOff>819444</xdr:colOff>
      <xdr:row>0</xdr:row>
      <xdr:rowOff>691814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9" y="20052"/>
          <a:ext cx="1982495" cy="671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982370</xdr:colOff>
      <xdr:row>0</xdr:row>
      <xdr:rowOff>690812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"/>
          <a:ext cx="1982495" cy="671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Normal="100" workbookViewId="0">
      <selection activeCell="C7" sqref="C7"/>
    </sheetView>
  </sheetViews>
  <sheetFormatPr defaultRowHeight="15" x14ac:dyDescent="0.25"/>
  <cols>
    <col min="1" max="1" width="20" style="1" customWidth="1"/>
    <col min="2" max="2" width="19.5703125" customWidth="1"/>
    <col min="3" max="3" width="20" customWidth="1"/>
    <col min="4" max="4" width="22.7109375" customWidth="1"/>
    <col min="5" max="5" width="17" hidden="1" customWidth="1"/>
    <col min="6" max="6" width="10.5703125" hidden="1" customWidth="1"/>
    <col min="7" max="7" width="12.42578125" hidden="1" customWidth="1"/>
    <col min="8" max="8" width="12.5703125" hidden="1" customWidth="1"/>
    <col min="9" max="10" width="9.140625" hidden="1" customWidth="1"/>
    <col min="11" max="11" width="10.5703125" hidden="1" customWidth="1"/>
    <col min="12" max="12" width="24.28515625" customWidth="1"/>
    <col min="13" max="13" width="9.140625" hidden="1" customWidth="1"/>
    <col min="14" max="14" width="13.7109375" hidden="1" customWidth="1"/>
    <col min="15" max="15" width="10.28515625" hidden="1" customWidth="1"/>
    <col min="16" max="16" width="13.42578125" hidden="1" customWidth="1"/>
    <col min="17" max="17" width="14" hidden="1" customWidth="1"/>
    <col min="18" max="18" width="10.42578125" hidden="1" customWidth="1"/>
    <col min="19" max="19" width="17.140625" hidden="1" customWidth="1"/>
    <col min="20" max="20" width="18" hidden="1" customWidth="1"/>
    <col min="21" max="21" width="13.85546875" hidden="1" customWidth="1"/>
    <col min="22" max="22" width="18.140625" hidden="1" customWidth="1"/>
    <col min="23" max="23" width="9.140625" hidden="1" customWidth="1"/>
  </cols>
  <sheetData>
    <row r="1" spans="1:22" ht="56.25" customHeight="1" x14ac:dyDescent="0.25">
      <c r="A1" s="78"/>
      <c r="B1" s="79"/>
      <c r="C1" s="121" t="s">
        <v>21</v>
      </c>
      <c r="D1" s="121"/>
      <c r="E1" s="121"/>
      <c r="F1" s="121"/>
      <c r="G1" s="121"/>
      <c r="H1" s="121"/>
      <c r="I1" s="121"/>
      <c r="J1" s="121"/>
      <c r="K1" s="121"/>
      <c r="L1" s="122"/>
    </row>
    <row r="2" spans="1:22" ht="36" customHeight="1" x14ac:dyDescent="0.25">
      <c r="A2" s="80" t="s">
        <v>27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22" ht="36" customHeight="1" thickBot="1" x14ac:dyDescent="0.3">
      <c r="A3" s="80" t="s">
        <v>28</v>
      </c>
      <c r="B3" s="127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22" ht="29.25" customHeight="1" thickBot="1" x14ac:dyDescent="0.3">
      <c r="A4" s="102" t="s">
        <v>48</v>
      </c>
      <c r="B4" s="18"/>
      <c r="C4" s="104" t="s">
        <v>54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1:22" ht="28.5" customHeight="1" thickBot="1" x14ac:dyDescent="0.3">
      <c r="A5" s="103"/>
      <c r="B5" s="17" t="s">
        <v>72</v>
      </c>
      <c r="C5" s="107" t="s">
        <v>29</v>
      </c>
      <c r="D5" s="108"/>
      <c r="E5" s="108"/>
      <c r="F5" s="108"/>
      <c r="G5" s="108"/>
      <c r="H5" s="108"/>
      <c r="I5" s="108"/>
      <c r="J5" s="108"/>
      <c r="K5" s="108"/>
      <c r="L5" s="109"/>
      <c r="R5">
        <v>0</v>
      </c>
    </row>
    <row r="6" spans="1:22" ht="35.25" customHeight="1" x14ac:dyDescent="0.25">
      <c r="A6" s="81" t="s">
        <v>12</v>
      </c>
      <c r="B6" s="32" t="s">
        <v>13</v>
      </c>
      <c r="C6" s="76" t="s">
        <v>14</v>
      </c>
      <c r="D6" s="76" t="s">
        <v>23</v>
      </c>
      <c r="E6" s="77"/>
      <c r="F6" s="10" t="s">
        <v>17</v>
      </c>
      <c r="G6" s="10" t="s">
        <v>16</v>
      </c>
      <c r="H6" s="10" t="s">
        <v>18</v>
      </c>
      <c r="I6" s="10"/>
      <c r="J6" s="10"/>
      <c r="K6" s="10"/>
      <c r="L6" s="82" t="s">
        <v>50</v>
      </c>
    </row>
    <row r="7" spans="1:22" ht="30" customHeight="1" x14ac:dyDescent="0.4">
      <c r="A7" s="83">
        <v>4</v>
      </c>
      <c r="B7" s="74">
        <v>13</v>
      </c>
      <c r="C7" s="74">
        <v>1.4</v>
      </c>
      <c r="D7" s="75">
        <f>A7*B7</f>
        <v>52</v>
      </c>
      <c r="E7" s="48"/>
      <c r="F7" s="4">
        <v>130</v>
      </c>
      <c r="G7" s="4">
        <v>18</v>
      </c>
      <c r="H7" s="4">
        <v>5040</v>
      </c>
      <c r="I7" s="84"/>
      <c r="J7" s="7"/>
      <c r="K7" s="7"/>
      <c r="L7" s="85">
        <f>A7*B7*C7</f>
        <v>72.8</v>
      </c>
      <c r="S7" s="101" t="s">
        <v>38</v>
      </c>
      <c r="T7" s="101"/>
      <c r="U7" s="101" t="s">
        <v>45</v>
      </c>
      <c r="V7" s="101"/>
    </row>
    <row r="8" spans="1:22" ht="34.5" customHeight="1" x14ac:dyDescent="0.25">
      <c r="A8" s="114" t="s">
        <v>62</v>
      </c>
      <c r="B8" s="115"/>
      <c r="C8" s="49">
        <v>32</v>
      </c>
      <c r="D8" s="110" t="s">
        <v>71</v>
      </c>
      <c r="E8" s="111"/>
      <c r="F8" s="111"/>
      <c r="G8" s="111"/>
      <c r="H8" s="111"/>
      <c r="I8" s="111"/>
      <c r="J8" s="111"/>
      <c r="K8" s="111"/>
      <c r="L8" s="112"/>
      <c r="N8" s="123" t="s">
        <v>39</v>
      </c>
      <c r="O8" s="123"/>
      <c r="P8" s="123"/>
      <c r="Q8" s="123"/>
      <c r="R8" s="123"/>
      <c r="S8" s="113">
        <f>(C8-C10+20)*(3*D7+L7*2)/5</f>
        <v>1809.6</v>
      </c>
      <c r="T8" s="113"/>
      <c r="U8" s="113">
        <f>S8*1.2</f>
        <v>2171.52</v>
      </c>
      <c r="V8" s="113"/>
    </row>
    <row r="9" spans="1:22" ht="32.25" customHeight="1" x14ac:dyDescent="0.25">
      <c r="A9" s="114" t="s">
        <v>19</v>
      </c>
      <c r="B9" s="115"/>
      <c r="C9" s="50">
        <v>0.8</v>
      </c>
      <c r="D9" s="47" t="str">
        <f>IF(S8&lt;399,"FT20",IF(S8&lt;499,"FT25",IF(S8&lt;849,"FT40",IF(S8&lt;1299,"FT60",IF(S8&lt;1599,"FT80",IF(S8&lt;1899,"FT100",IF(S8&lt;2199,"FT120",IF(S8&lt;3000,"FT160",IF(S8&lt;4800,"DUAS  FT120",IF(S8&lt;6599," DUAS FT160",IF(S8&lt;9600,"TRÊS  FT160",IF(S8&lt;13300,"QUATRO  FT 160",IF(S8&lt;18000,"CINCO  FT160",)))))))))))))</f>
        <v>FT100</v>
      </c>
      <c r="E9" s="46"/>
      <c r="F9" s="46"/>
      <c r="G9" s="46"/>
      <c r="H9" s="46"/>
      <c r="I9" s="46"/>
      <c r="J9" s="46"/>
      <c r="K9" s="46"/>
      <c r="L9" s="86" t="str">
        <f>IF(C10&lt;11,"COM DEGELO",IF(C10&lt;&gt;11,"  "))</f>
        <v xml:space="preserve">  </v>
      </c>
      <c r="N9" s="23" t="s">
        <v>37</v>
      </c>
      <c r="O9" t="s">
        <v>38</v>
      </c>
      <c r="Q9" s="23" t="s">
        <v>37</v>
      </c>
      <c r="R9" t="s">
        <v>38</v>
      </c>
      <c r="S9" s="16">
        <v>0</v>
      </c>
      <c r="T9" s="120">
        <v>25</v>
      </c>
      <c r="U9" s="16">
        <v>2700</v>
      </c>
      <c r="V9" s="120">
        <v>160</v>
      </c>
    </row>
    <row r="10" spans="1:22" ht="30.75" customHeight="1" x14ac:dyDescent="0.25">
      <c r="A10" s="118" t="s">
        <v>36</v>
      </c>
      <c r="B10" s="119"/>
      <c r="C10" s="51">
        <v>22</v>
      </c>
      <c r="D10" s="128" t="s">
        <v>35</v>
      </c>
      <c r="E10" s="129"/>
      <c r="F10" s="129"/>
      <c r="G10" s="129"/>
      <c r="H10" s="129"/>
      <c r="I10" s="129"/>
      <c r="J10" s="129"/>
      <c r="K10" s="129"/>
      <c r="L10" s="130"/>
      <c r="N10">
        <v>0</v>
      </c>
      <c r="O10">
        <f>(C8-C10+20)*(3*D7+L7*2)/5</f>
        <v>1809.6</v>
      </c>
      <c r="Q10">
        <v>16</v>
      </c>
      <c r="R10">
        <v>1262</v>
      </c>
      <c r="S10" s="16" t="s">
        <v>40</v>
      </c>
      <c r="T10" s="120"/>
      <c r="U10" s="16" t="s">
        <v>40</v>
      </c>
      <c r="V10" s="120"/>
    </row>
    <row r="11" spans="1:22" ht="32.25" customHeight="1" x14ac:dyDescent="0.25">
      <c r="A11" s="118" t="s">
        <v>25</v>
      </c>
      <c r="B11" s="119"/>
      <c r="C11" s="52">
        <v>4.5</v>
      </c>
      <c r="D11" s="47" t="str">
        <f>IF(U8&lt;220,"FT20",IF(U8&lt;399,"FT25",IF(U8&lt;849,"FT40",IF(U8&lt;1299,"FT60",IF(U8&lt;1599,"FT80",IF(U8&lt;1999,"FT100",IF(U8&lt;2500,"FT120",IF(U8&lt;3299,"FT160",IF(U8&lt;5299,"DUAS FT120",IF(U8&lt;7599,"DUAS  FT160",IF(U8&lt;8000,"TRÊS  FT160",IF(U8&lt;13000,"QUATRO  FT160",IF(U8&lt;25000,"CINCO  FT160",)))))))))))))</f>
        <v>FT120</v>
      </c>
      <c r="E11" s="46"/>
      <c r="F11" s="46"/>
      <c r="G11" s="46"/>
      <c r="H11" s="46"/>
      <c r="I11" s="46"/>
      <c r="J11" s="46"/>
      <c r="K11" s="46"/>
      <c r="L11" s="86" t="str">
        <f>IF(C10&lt;11,"COM DEGELO",IF(C10&lt;&gt;11,"  "))</f>
        <v xml:space="preserve">  </v>
      </c>
      <c r="N11">
        <v>1</v>
      </c>
      <c r="O11">
        <v>1818</v>
      </c>
      <c r="Q11">
        <v>17</v>
      </c>
      <c r="R11">
        <v>1224</v>
      </c>
      <c r="S11" s="16">
        <v>399</v>
      </c>
      <c r="T11" s="120"/>
      <c r="U11" s="16">
        <v>4499</v>
      </c>
      <c r="V11" s="120"/>
    </row>
    <row r="12" spans="1:22" ht="43.5" customHeight="1" x14ac:dyDescent="0.25">
      <c r="A12" s="87" t="s">
        <v>34</v>
      </c>
      <c r="B12" s="63" t="s">
        <v>63</v>
      </c>
      <c r="C12" s="63" t="s">
        <v>31</v>
      </c>
      <c r="D12" s="64" t="s">
        <v>32</v>
      </c>
      <c r="E12" s="88"/>
      <c r="F12" s="88" t="s">
        <v>16</v>
      </c>
      <c r="G12" s="88"/>
      <c r="H12" s="88"/>
      <c r="I12" s="88"/>
      <c r="J12" s="88"/>
      <c r="K12" s="88"/>
      <c r="L12" s="89" t="s">
        <v>33</v>
      </c>
      <c r="N12">
        <v>2</v>
      </c>
      <c r="O12">
        <v>1781</v>
      </c>
      <c r="Q12">
        <v>18</v>
      </c>
      <c r="R12">
        <v>1187</v>
      </c>
      <c r="S12" s="16">
        <v>400</v>
      </c>
      <c r="T12" s="120">
        <v>40</v>
      </c>
      <c r="U12" s="16">
        <v>4500</v>
      </c>
      <c r="V12" s="120" t="s">
        <v>41</v>
      </c>
    </row>
    <row r="13" spans="1:22" ht="18.75" x14ac:dyDescent="0.25">
      <c r="A13" s="90" t="s">
        <v>65</v>
      </c>
      <c r="B13" s="53">
        <v>25</v>
      </c>
      <c r="C13" s="9">
        <f>F13*D7*0.3</f>
        <v>624</v>
      </c>
      <c r="D13" s="8">
        <f>C9*C13</f>
        <v>499.20000000000005</v>
      </c>
      <c r="E13" s="2" t="s">
        <v>0</v>
      </c>
      <c r="F13" s="91">
        <f>(C8+3-B13)*4</f>
        <v>40</v>
      </c>
      <c r="G13" s="92"/>
      <c r="H13" s="92"/>
      <c r="I13" s="92"/>
      <c r="J13" s="92"/>
      <c r="K13" s="92"/>
      <c r="L13" s="93">
        <f>C13/7*3*C11</f>
        <v>1203.4285714285716</v>
      </c>
      <c r="N13">
        <v>3</v>
      </c>
      <c r="O13">
        <v>1744</v>
      </c>
      <c r="Q13">
        <v>19</v>
      </c>
      <c r="R13">
        <v>1150</v>
      </c>
      <c r="S13" s="16" t="s">
        <v>40</v>
      </c>
      <c r="T13" s="120"/>
      <c r="U13" s="16" t="s">
        <v>40</v>
      </c>
      <c r="V13" s="120"/>
    </row>
    <row r="14" spans="1:22" ht="18.75" hidden="1" x14ac:dyDescent="0.25">
      <c r="A14" s="90" t="s">
        <v>1</v>
      </c>
      <c r="B14" s="53">
        <f>B13</f>
        <v>25</v>
      </c>
      <c r="C14" s="9">
        <f>F14*D7*0.26</f>
        <v>405.6</v>
      </c>
      <c r="D14" s="8">
        <f>C14*C9</f>
        <v>324.48</v>
      </c>
      <c r="E14" s="3" t="s">
        <v>1</v>
      </c>
      <c r="F14" s="91">
        <f>(C8+3-B14)*3</f>
        <v>30</v>
      </c>
      <c r="G14" s="92"/>
      <c r="H14" s="92"/>
      <c r="I14" s="92"/>
      <c r="J14" s="92"/>
      <c r="K14" s="92"/>
      <c r="L14" s="94">
        <f>C14/7*3*C11</f>
        <v>782.2285714285714</v>
      </c>
      <c r="N14">
        <v>4</v>
      </c>
      <c r="O14">
        <v>1707</v>
      </c>
      <c r="Q14">
        <v>20</v>
      </c>
      <c r="R14">
        <v>1113</v>
      </c>
      <c r="S14" s="16">
        <v>849</v>
      </c>
      <c r="T14" s="120"/>
      <c r="U14" s="16">
        <v>6299</v>
      </c>
      <c r="V14" s="120"/>
    </row>
    <row r="15" spans="1:22" ht="18.75" hidden="1" x14ac:dyDescent="0.25">
      <c r="A15" s="95" t="s">
        <v>2</v>
      </c>
      <c r="B15" s="53">
        <f>B13</f>
        <v>25</v>
      </c>
      <c r="C15" s="9">
        <f>F15*D7*0.26</f>
        <v>405.6</v>
      </c>
      <c r="D15" s="8">
        <f>C15*C9</f>
        <v>324.48</v>
      </c>
      <c r="E15" s="2" t="s">
        <v>2</v>
      </c>
      <c r="F15" s="91">
        <f>(C8+3-B15)*3</f>
        <v>30</v>
      </c>
      <c r="G15" s="92"/>
      <c r="H15" s="92"/>
      <c r="I15" s="92"/>
      <c r="J15" s="92"/>
      <c r="K15" s="92"/>
      <c r="L15" s="94">
        <f>C15/7*3*C11</f>
        <v>782.2285714285714</v>
      </c>
      <c r="N15">
        <v>5</v>
      </c>
      <c r="O15">
        <v>1670</v>
      </c>
      <c r="Q15">
        <v>21</v>
      </c>
      <c r="R15">
        <v>1076</v>
      </c>
      <c r="S15" s="16">
        <v>850</v>
      </c>
      <c r="T15" s="120">
        <v>60</v>
      </c>
      <c r="U15" s="16">
        <v>6300</v>
      </c>
      <c r="V15" s="120" t="s">
        <v>42</v>
      </c>
    </row>
    <row r="16" spans="1:22" ht="24" customHeight="1" x14ac:dyDescent="0.25">
      <c r="A16" s="90" t="s">
        <v>68</v>
      </c>
      <c r="B16" s="53">
        <v>22</v>
      </c>
      <c r="C16" s="9">
        <f>F16*D7*0.4</f>
        <v>1081.6000000000001</v>
      </c>
      <c r="D16" s="8">
        <f>C16*C9</f>
        <v>865.2800000000002</v>
      </c>
      <c r="E16" s="3" t="s">
        <v>3</v>
      </c>
      <c r="F16" s="91">
        <f>(C8+3-B16)*4</f>
        <v>52</v>
      </c>
      <c r="G16" s="92"/>
      <c r="H16" s="92"/>
      <c r="I16" s="92"/>
      <c r="J16" s="92"/>
      <c r="K16" s="92"/>
      <c r="L16" s="94">
        <f>C16/7*3*C11</f>
        <v>2085.9428571428575</v>
      </c>
      <c r="N16">
        <v>6</v>
      </c>
      <c r="O16">
        <v>1633</v>
      </c>
      <c r="Q16">
        <v>22</v>
      </c>
      <c r="R16">
        <v>1039</v>
      </c>
      <c r="S16" s="16" t="s">
        <v>40</v>
      </c>
      <c r="T16" s="120"/>
      <c r="U16" s="16" t="s">
        <v>40</v>
      </c>
      <c r="V16" s="120"/>
    </row>
    <row r="17" spans="1:22" ht="18.75" hidden="1" x14ac:dyDescent="0.25">
      <c r="A17" s="95" t="s">
        <v>4</v>
      </c>
      <c r="B17" s="53">
        <f>B16</f>
        <v>22</v>
      </c>
      <c r="C17" s="9">
        <f>F17*D7*0.27</f>
        <v>631.80000000000007</v>
      </c>
      <c r="D17" s="8">
        <f>C17*C9</f>
        <v>505.44000000000005</v>
      </c>
      <c r="E17" s="2" t="s">
        <v>4</v>
      </c>
      <c r="F17" s="91">
        <f>(C8+5-B17)*3</f>
        <v>45</v>
      </c>
      <c r="G17" s="92"/>
      <c r="H17" s="92"/>
      <c r="I17" s="92"/>
      <c r="J17" s="92"/>
      <c r="K17" s="92"/>
      <c r="L17" s="94">
        <f>C17/7*3*C11</f>
        <v>1218.4714285714288</v>
      </c>
      <c r="N17">
        <v>7</v>
      </c>
      <c r="O17">
        <v>1596</v>
      </c>
      <c r="Q17">
        <v>23</v>
      </c>
      <c r="R17">
        <v>1002</v>
      </c>
      <c r="S17" s="16">
        <v>1299</v>
      </c>
      <c r="T17" s="120"/>
      <c r="U17" s="16">
        <v>9999</v>
      </c>
      <c r="V17" s="120"/>
    </row>
    <row r="18" spans="1:22" ht="18.75" hidden="1" x14ac:dyDescent="0.25">
      <c r="A18" s="90" t="s">
        <v>5</v>
      </c>
      <c r="B18" s="53">
        <f>B16</f>
        <v>22</v>
      </c>
      <c r="C18" s="9">
        <f>F18*D7*0.27</f>
        <v>631.80000000000007</v>
      </c>
      <c r="D18" s="8">
        <f>C9*C18</f>
        <v>505.44000000000005</v>
      </c>
      <c r="E18" s="3" t="s">
        <v>5</v>
      </c>
      <c r="F18" s="91">
        <f>(C8+5-B18)*3</f>
        <v>45</v>
      </c>
      <c r="G18" s="92"/>
      <c r="H18" s="92"/>
      <c r="I18" s="92"/>
      <c r="J18" s="92"/>
      <c r="K18" s="92"/>
      <c r="L18" s="94">
        <f>C18/7*3*C11</f>
        <v>1218.4714285714288</v>
      </c>
      <c r="N18">
        <v>8</v>
      </c>
      <c r="O18">
        <v>1559</v>
      </c>
      <c r="Q18">
        <v>24</v>
      </c>
      <c r="R18">
        <v>965</v>
      </c>
      <c r="S18" s="16">
        <v>1300</v>
      </c>
      <c r="T18" s="120">
        <v>80</v>
      </c>
      <c r="U18" s="16">
        <v>10000</v>
      </c>
      <c r="V18" s="120" t="s">
        <v>43</v>
      </c>
    </row>
    <row r="19" spans="1:22" ht="18.75" x14ac:dyDescent="0.25">
      <c r="A19" s="90" t="s">
        <v>66</v>
      </c>
      <c r="B19" s="53">
        <v>18</v>
      </c>
      <c r="C19" s="9">
        <f>F19*D7*0.4</f>
        <v>1580.8000000000002</v>
      </c>
      <c r="D19" s="8">
        <f>C19*C9</f>
        <v>1264.6400000000003</v>
      </c>
      <c r="E19" s="2" t="s">
        <v>6</v>
      </c>
      <c r="F19" s="91">
        <f>(C8+5-B19)*4</f>
        <v>76</v>
      </c>
      <c r="G19" s="92"/>
      <c r="H19" s="92"/>
      <c r="I19" s="92"/>
      <c r="J19" s="92"/>
      <c r="K19" s="92"/>
      <c r="L19" s="94">
        <f>C19/7*3*C11</f>
        <v>3048.6857142857148</v>
      </c>
      <c r="N19">
        <v>9</v>
      </c>
      <c r="O19">
        <v>1521</v>
      </c>
      <c r="Q19">
        <v>25</v>
      </c>
      <c r="R19">
        <v>928</v>
      </c>
      <c r="S19" s="16" t="s">
        <v>40</v>
      </c>
      <c r="T19" s="120"/>
      <c r="U19" s="16" t="s">
        <v>40</v>
      </c>
      <c r="V19" s="120"/>
    </row>
    <row r="20" spans="1:22" ht="18.75" hidden="1" x14ac:dyDescent="0.25">
      <c r="A20" s="90" t="s">
        <v>7</v>
      </c>
      <c r="B20" s="53">
        <f>B19</f>
        <v>18</v>
      </c>
      <c r="C20" s="9">
        <f>F20*D7*0.28</f>
        <v>742.56000000000006</v>
      </c>
      <c r="D20" s="8">
        <f>C9*C20</f>
        <v>594.04800000000012</v>
      </c>
      <c r="E20" s="3" t="s">
        <v>7</v>
      </c>
      <c r="F20" s="91">
        <f>(C8+3-B20)*3</f>
        <v>51</v>
      </c>
      <c r="G20" s="92"/>
      <c r="H20" s="92"/>
      <c r="I20" s="92"/>
      <c r="J20" s="92"/>
      <c r="K20" s="92"/>
      <c r="L20" s="94">
        <f>C20/7*3*C11</f>
        <v>1432.08</v>
      </c>
      <c r="N20">
        <v>10</v>
      </c>
      <c r="O20">
        <v>1484</v>
      </c>
      <c r="Q20">
        <v>26</v>
      </c>
      <c r="R20">
        <v>890</v>
      </c>
      <c r="S20" s="16">
        <v>1599</v>
      </c>
      <c r="T20" s="120"/>
      <c r="U20" s="16">
        <v>15000</v>
      </c>
      <c r="V20" s="120"/>
    </row>
    <row r="21" spans="1:22" ht="18.75" hidden="1" x14ac:dyDescent="0.25">
      <c r="A21" s="95" t="s">
        <v>8</v>
      </c>
      <c r="B21" s="53">
        <f>B19</f>
        <v>18</v>
      </c>
      <c r="C21" s="9">
        <f>F21*D7*0.28</f>
        <v>742.56000000000006</v>
      </c>
      <c r="D21" s="8">
        <f>C21*C9</f>
        <v>594.04800000000012</v>
      </c>
      <c r="E21" s="2" t="s">
        <v>8</v>
      </c>
      <c r="F21" s="91">
        <f>(C8+3-B21)*3</f>
        <v>51</v>
      </c>
      <c r="G21" s="92"/>
      <c r="H21" s="92"/>
      <c r="I21" s="92"/>
      <c r="J21" s="92"/>
      <c r="K21" s="92"/>
      <c r="L21" s="94">
        <f>C21/7*3*C11</f>
        <v>1432.08</v>
      </c>
      <c r="N21">
        <v>11</v>
      </c>
      <c r="O21">
        <v>1447</v>
      </c>
      <c r="Q21">
        <v>27</v>
      </c>
      <c r="R21">
        <v>853</v>
      </c>
      <c r="S21" s="16">
        <v>1600</v>
      </c>
      <c r="T21" s="120">
        <v>100</v>
      </c>
    </row>
    <row r="22" spans="1:22" ht="19.5" thickBot="1" x14ac:dyDescent="0.3">
      <c r="A22" s="90" t="s">
        <v>67</v>
      </c>
      <c r="B22" s="53">
        <v>22</v>
      </c>
      <c r="C22" s="9">
        <f>F22*D7*0.4</f>
        <v>1081.6000000000001</v>
      </c>
      <c r="D22" s="8">
        <f>C9*C22</f>
        <v>865.2800000000002</v>
      </c>
      <c r="E22" s="3" t="s">
        <v>9</v>
      </c>
      <c r="F22" s="91">
        <f>(C8+3-B22)*4</f>
        <v>52</v>
      </c>
      <c r="G22" s="92"/>
      <c r="H22" s="92"/>
      <c r="I22" s="92"/>
      <c r="J22" s="92"/>
      <c r="K22" s="92"/>
      <c r="L22" s="94">
        <f>C22/7*3*C11</f>
        <v>2085.9428571428575</v>
      </c>
      <c r="N22">
        <v>12</v>
      </c>
      <c r="O22">
        <v>1410</v>
      </c>
      <c r="Q22">
        <v>28</v>
      </c>
      <c r="R22">
        <v>816</v>
      </c>
      <c r="S22" s="16" t="s">
        <v>40</v>
      </c>
      <c r="T22" s="120"/>
    </row>
    <row r="23" spans="1:22" ht="18.75" hidden="1" x14ac:dyDescent="0.25">
      <c r="A23" s="95" t="s">
        <v>10</v>
      </c>
      <c r="B23" s="53">
        <f>B22</f>
        <v>22</v>
      </c>
      <c r="C23" s="9">
        <f>F23*D7*0.27</f>
        <v>547.56000000000006</v>
      </c>
      <c r="D23" s="8">
        <f>C23*C9</f>
        <v>438.04800000000006</v>
      </c>
      <c r="E23" s="2" t="s">
        <v>10</v>
      </c>
      <c r="F23" s="91">
        <f>(C8+3-B23)*3</f>
        <v>39</v>
      </c>
      <c r="G23" s="92"/>
      <c r="H23" s="92"/>
      <c r="I23" s="92"/>
      <c r="J23" s="92"/>
      <c r="K23" s="92"/>
      <c r="L23" s="94">
        <f>C23/7*3*C11</f>
        <v>1056.0085714285715</v>
      </c>
      <c r="N23">
        <v>13</v>
      </c>
      <c r="O23">
        <v>1373</v>
      </c>
      <c r="Q23">
        <v>29</v>
      </c>
      <c r="R23">
        <v>779</v>
      </c>
      <c r="S23" s="16">
        <v>1999</v>
      </c>
      <c r="T23" s="120"/>
    </row>
    <row r="24" spans="1:22" ht="35.25" hidden="1" customHeight="1" x14ac:dyDescent="0.25">
      <c r="A24" s="90" t="s">
        <v>11</v>
      </c>
      <c r="B24" s="53">
        <f>B22</f>
        <v>22</v>
      </c>
      <c r="C24" s="9">
        <f>F24*D7*0.27</f>
        <v>547.56000000000006</v>
      </c>
      <c r="D24" s="8">
        <f>C9*C24</f>
        <v>438.04800000000006</v>
      </c>
      <c r="E24" s="11" t="s">
        <v>11</v>
      </c>
      <c r="F24" s="91">
        <f>(C8+3-B24)*3</f>
        <v>39</v>
      </c>
      <c r="G24" s="92"/>
      <c r="H24" s="92"/>
      <c r="I24" s="92"/>
      <c r="J24" s="92"/>
      <c r="K24" s="92"/>
      <c r="L24" s="94">
        <f>C24/7*3*C11</f>
        <v>1056.0085714285715</v>
      </c>
      <c r="N24">
        <v>14</v>
      </c>
      <c r="O24">
        <v>1336</v>
      </c>
      <c r="Q24">
        <v>30</v>
      </c>
      <c r="R24">
        <v>742</v>
      </c>
      <c r="S24" s="16">
        <v>2000</v>
      </c>
      <c r="T24" s="120">
        <v>120</v>
      </c>
    </row>
    <row r="25" spans="1:22" ht="15.75" hidden="1" thickBot="1" x14ac:dyDescent="0.3">
      <c r="A25" s="96"/>
      <c r="B25" s="92"/>
      <c r="C25" s="12">
        <f>SUM(C13:C24)</f>
        <v>9023.0400000000009</v>
      </c>
      <c r="D25" s="13">
        <f>SUM(D13:D24)</f>
        <v>7218.4320000000007</v>
      </c>
      <c r="E25" s="92"/>
      <c r="F25" s="92"/>
      <c r="G25" s="92"/>
      <c r="H25" s="92"/>
      <c r="I25" s="92"/>
      <c r="J25" s="92"/>
      <c r="K25" s="92"/>
      <c r="L25" s="97"/>
      <c r="S25" s="16" t="s">
        <v>40</v>
      </c>
      <c r="T25" s="120"/>
    </row>
    <row r="26" spans="1:22" ht="27.75" customHeight="1" thickBot="1" x14ac:dyDescent="0.3">
      <c r="A26" s="116" t="s">
        <v>24</v>
      </c>
      <c r="B26" s="117"/>
      <c r="C26" s="22">
        <f>AVERAGE(C13,C16,C19,C22)</f>
        <v>1092.0000000000002</v>
      </c>
      <c r="D26" s="20">
        <f>AVERAGE(D13,D16,D19,D22)</f>
        <v>873.60000000000025</v>
      </c>
      <c r="E26" s="98"/>
      <c r="F26" s="98"/>
      <c r="G26" s="98"/>
      <c r="H26" s="98"/>
      <c r="I26" s="98"/>
      <c r="J26" s="98"/>
      <c r="K26" s="98"/>
      <c r="L26" s="21">
        <f>C26/7*3*C11</f>
        <v>2106.0000000000005</v>
      </c>
      <c r="N26">
        <v>15</v>
      </c>
      <c r="O26">
        <v>1299</v>
      </c>
      <c r="Q26">
        <v>31</v>
      </c>
      <c r="R26">
        <v>705</v>
      </c>
      <c r="S26" s="16" t="s">
        <v>44</v>
      </c>
      <c r="T26" s="120"/>
    </row>
    <row r="27" spans="1:22" x14ac:dyDescent="0.25">
      <c r="T27" s="24"/>
    </row>
    <row r="28" spans="1:22" x14ac:dyDescent="0.25">
      <c r="A28" s="1" t="s">
        <v>74</v>
      </c>
      <c r="T28" s="24"/>
    </row>
  </sheetData>
  <sheetProtection algorithmName="SHA-512" hashValue="oTdnr3xDxyMjrEOU78BK2P9emuF2QqdBr241F9JS2lbRhX2mf+4YlEEMEyE4ZnGVcrCtGNr20C+PWur26D2Ddw==" saltValue="7EniySnxkQQjHCDLxrrAQw==" spinCount="100000" sheet="1" selectLockedCells="1"/>
  <mergeCells count="28">
    <mergeCell ref="C1:L1"/>
    <mergeCell ref="T24:T26"/>
    <mergeCell ref="N8:R8"/>
    <mergeCell ref="T9:T11"/>
    <mergeCell ref="T12:T14"/>
    <mergeCell ref="T15:T17"/>
    <mergeCell ref="T18:T20"/>
    <mergeCell ref="S8:T8"/>
    <mergeCell ref="B2:L2"/>
    <mergeCell ref="B3:L3"/>
    <mergeCell ref="S7:T7"/>
    <mergeCell ref="D10:L10"/>
    <mergeCell ref="A9:B9"/>
    <mergeCell ref="A26:B26"/>
    <mergeCell ref="A10:B10"/>
    <mergeCell ref="A11:B11"/>
    <mergeCell ref="V9:V11"/>
    <mergeCell ref="V12:V14"/>
    <mergeCell ref="V15:V17"/>
    <mergeCell ref="V18:V20"/>
    <mergeCell ref="T21:T23"/>
    <mergeCell ref="U7:V7"/>
    <mergeCell ref="A4:A5"/>
    <mergeCell ref="C4:L4"/>
    <mergeCell ref="C5:L5"/>
    <mergeCell ref="D8:L8"/>
    <mergeCell ref="U8:V8"/>
    <mergeCell ref="A8:B8"/>
  </mergeCells>
  <dataValidations count="4">
    <dataValidation type="whole" allowBlank="1" showInputMessage="1" showErrorMessage="1" error="VALOR CALCULADO ENTRE 25°C E 40°C" sqref="C8">
      <formula1>25</formula1>
      <formula2>40</formula2>
    </dataValidation>
    <dataValidation type="whole" allowBlank="1" showInputMessage="1" showErrorMessage="1" error="VALOR PERMITIDO ENTRE -10 E 35" sqref="C10">
      <formula1>-11</formula1>
      <formula2>35</formula2>
    </dataValidation>
    <dataValidation type="whole" allowBlank="1" showInputMessage="1" showErrorMessage="1" error="VALOR PERMITIDO ENTRE -10 E 40" sqref="B13:B24">
      <formula1>-10</formula1>
      <formula2>40</formula2>
    </dataValidation>
    <dataValidation operator="greaterThan" allowBlank="1" showInputMessage="1" showErrorMessage="1" sqref="C23:C24"/>
  </dataValidations>
  <pageMargins left="0.511811024" right="0.511811024" top="0.78740157499999996" bottom="0.78740157499999996" header="0.31496062000000002" footer="0.31496062000000002"/>
  <pageSetup paperSize="1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C11" sqref="C11"/>
    </sheetView>
  </sheetViews>
  <sheetFormatPr defaultRowHeight="15" x14ac:dyDescent="0.25"/>
  <cols>
    <col min="1" max="1" width="16.28515625" style="1" customWidth="1"/>
    <col min="2" max="2" width="15.140625" customWidth="1"/>
    <col min="3" max="3" width="19.7109375" customWidth="1"/>
    <col min="4" max="4" width="24.140625" customWidth="1"/>
    <col min="5" max="5" width="17" hidden="1" customWidth="1"/>
    <col min="6" max="6" width="10.5703125" hidden="1" customWidth="1"/>
    <col min="7" max="7" width="12.42578125" style="69" hidden="1" customWidth="1"/>
    <col min="8" max="8" width="12.5703125" hidden="1" customWidth="1"/>
    <col min="9" max="9" width="20.85546875" customWidth="1"/>
    <col min="10" max="10" width="9.140625" hidden="1" customWidth="1"/>
    <col min="11" max="11" width="13.7109375" hidden="1" customWidth="1"/>
    <col min="12" max="12" width="10.28515625" hidden="1" customWidth="1"/>
    <col min="13" max="13" width="13.42578125" hidden="1" customWidth="1"/>
    <col min="14" max="14" width="14" hidden="1" customWidth="1"/>
    <col min="15" max="15" width="10.42578125" hidden="1" customWidth="1"/>
    <col min="16" max="16" width="17.140625" hidden="1" customWidth="1"/>
    <col min="17" max="17" width="18" hidden="1" customWidth="1"/>
    <col min="18" max="18" width="13.85546875" hidden="1" customWidth="1"/>
    <col min="19" max="19" width="18.140625" hidden="1" customWidth="1"/>
    <col min="20" max="20" width="9.140625" hidden="1" customWidth="1"/>
    <col min="21" max="21" width="9.140625" customWidth="1"/>
  </cols>
  <sheetData>
    <row r="1" spans="1:19" ht="56.25" customHeight="1" thickBot="1" x14ac:dyDescent="0.3">
      <c r="A1" s="100"/>
      <c r="B1" s="99"/>
      <c r="C1" s="135" t="s">
        <v>26</v>
      </c>
      <c r="D1" s="135"/>
      <c r="E1" s="135"/>
      <c r="F1" s="135"/>
      <c r="G1" s="135"/>
      <c r="H1" s="135"/>
      <c r="I1" s="136"/>
    </row>
    <row r="2" spans="1:19" ht="23.25" customHeight="1" thickBot="1" x14ac:dyDescent="0.3">
      <c r="A2" s="144" t="s">
        <v>22</v>
      </c>
      <c r="B2" s="18"/>
      <c r="C2" s="146" t="s">
        <v>30</v>
      </c>
      <c r="D2" s="147"/>
      <c r="E2" s="147"/>
      <c r="F2" s="147"/>
      <c r="G2" s="147"/>
      <c r="H2" s="147"/>
      <c r="I2" s="148"/>
      <c r="K2" s="16" t="s">
        <v>52</v>
      </c>
      <c r="L2" s="16"/>
      <c r="M2" s="16"/>
      <c r="N2" s="16"/>
    </row>
    <row r="3" spans="1:19" ht="21.75" customHeight="1" thickBot="1" x14ac:dyDescent="0.3">
      <c r="A3" s="145"/>
      <c r="B3" s="17" t="s">
        <v>73</v>
      </c>
      <c r="C3" s="149" t="s">
        <v>29</v>
      </c>
      <c r="D3" s="150"/>
      <c r="E3" s="150"/>
      <c r="F3" s="150"/>
      <c r="G3" s="150"/>
      <c r="H3" s="150"/>
      <c r="I3" s="151"/>
      <c r="K3" s="16">
        <v>0.7</v>
      </c>
      <c r="L3" s="16"/>
      <c r="M3" s="16"/>
      <c r="N3" s="16">
        <f>B7*0.7</f>
        <v>0.7</v>
      </c>
    </row>
    <row r="4" spans="1:19" ht="29.25" customHeight="1" x14ac:dyDescent="0.25">
      <c r="A4" s="30" t="s">
        <v>27</v>
      </c>
      <c r="B4" s="137"/>
      <c r="C4" s="138"/>
      <c r="D4" s="138"/>
      <c r="E4" s="138"/>
      <c r="F4" s="138"/>
      <c r="G4" s="138"/>
      <c r="H4" s="138"/>
      <c r="I4" s="139"/>
    </row>
    <row r="5" spans="1:19" ht="30" customHeight="1" thickBot="1" x14ac:dyDescent="0.3">
      <c r="A5" s="31" t="s">
        <v>28</v>
      </c>
      <c r="B5" s="140"/>
      <c r="C5" s="141"/>
      <c r="D5" s="141"/>
      <c r="E5" s="141"/>
      <c r="F5" s="141"/>
      <c r="G5" s="141"/>
      <c r="H5" s="141"/>
      <c r="I5" s="142"/>
      <c r="O5">
        <v>0</v>
      </c>
    </row>
    <row r="6" spans="1:19" ht="33.75" customHeight="1" x14ac:dyDescent="0.25">
      <c r="A6" s="29" t="s">
        <v>47</v>
      </c>
      <c r="B6" s="55">
        <v>1</v>
      </c>
      <c r="C6" s="153" t="s">
        <v>70</v>
      </c>
      <c r="D6" s="153"/>
      <c r="E6" s="153"/>
      <c r="F6" s="153"/>
      <c r="G6" s="153"/>
      <c r="H6" s="153"/>
      <c r="I6" s="153"/>
      <c r="J6" s="26"/>
      <c r="K6" s="28" t="s">
        <v>51</v>
      </c>
      <c r="L6" s="27"/>
      <c r="M6" s="16"/>
      <c r="N6" s="6">
        <v>54</v>
      </c>
    </row>
    <row r="7" spans="1:19" ht="33" customHeight="1" x14ac:dyDescent="0.25">
      <c r="A7" s="15" t="s">
        <v>49</v>
      </c>
      <c r="B7" s="55">
        <v>1</v>
      </c>
      <c r="C7" s="154" t="s">
        <v>55</v>
      </c>
      <c r="D7" s="154"/>
      <c r="E7" s="154"/>
      <c r="F7" s="154"/>
      <c r="G7" s="154"/>
      <c r="H7" s="154"/>
      <c r="I7" s="154"/>
      <c r="J7" s="26"/>
      <c r="K7" s="28">
        <f>B6*40%</f>
        <v>0.4</v>
      </c>
      <c r="L7" s="27"/>
      <c r="M7" s="16"/>
      <c r="N7" s="6">
        <f>K7%*N6*20</f>
        <v>4.32</v>
      </c>
    </row>
    <row r="8" spans="1:19" ht="36.75" customHeight="1" x14ac:dyDescent="0.25">
      <c r="A8" s="32" t="s">
        <v>12</v>
      </c>
      <c r="B8" s="32" t="s">
        <v>13</v>
      </c>
      <c r="C8" s="32" t="s">
        <v>14</v>
      </c>
      <c r="D8" s="32" t="s">
        <v>23</v>
      </c>
      <c r="E8" s="33"/>
      <c r="F8" s="34" t="s">
        <v>17</v>
      </c>
      <c r="G8" s="66" t="s">
        <v>16</v>
      </c>
      <c r="H8" s="34" t="s">
        <v>18</v>
      </c>
      <c r="I8" s="32" t="s">
        <v>50</v>
      </c>
    </row>
    <row r="9" spans="1:19" ht="33.75" customHeight="1" x14ac:dyDescent="0.25">
      <c r="A9" s="56">
        <v>3</v>
      </c>
      <c r="B9" s="56">
        <v>5</v>
      </c>
      <c r="C9" s="56">
        <v>1.4</v>
      </c>
      <c r="D9" s="35">
        <f>A9*B9</f>
        <v>15</v>
      </c>
      <c r="E9" s="36"/>
      <c r="F9" s="37">
        <v>130</v>
      </c>
      <c r="G9" s="67">
        <v>18</v>
      </c>
      <c r="H9" s="37">
        <v>5040</v>
      </c>
      <c r="I9" s="35">
        <f>A9*B9*C9</f>
        <v>21</v>
      </c>
      <c r="P9" s="101" t="s">
        <v>38</v>
      </c>
      <c r="Q9" s="101"/>
      <c r="R9" s="101" t="s">
        <v>69</v>
      </c>
      <c r="S9" s="101"/>
    </row>
    <row r="10" spans="1:19" ht="35.25" customHeight="1" x14ac:dyDescent="0.25">
      <c r="A10" s="131" t="s">
        <v>15</v>
      </c>
      <c r="B10" s="131"/>
      <c r="C10" s="56">
        <v>30</v>
      </c>
      <c r="D10" s="110" t="s">
        <v>53</v>
      </c>
      <c r="E10" s="111"/>
      <c r="F10" s="111"/>
      <c r="G10" s="111"/>
      <c r="H10" s="111"/>
      <c r="I10" s="152"/>
      <c r="K10" s="123" t="s">
        <v>39</v>
      </c>
      <c r="L10" s="123"/>
      <c r="M10" s="123"/>
      <c r="N10" s="123"/>
      <c r="O10" s="123"/>
      <c r="P10" s="143">
        <f>(C10+4-C12+20+B6)*(4*D9+I9*2)/6</f>
        <v>510</v>
      </c>
      <c r="Q10" s="143"/>
      <c r="R10" s="113">
        <f>P10*1.1</f>
        <v>561</v>
      </c>
      <c r="S10" s="113"/>
    </row>
    <row r="11" spans="1:19" ht="33" customHeight="1" x14ac:dyDescent="0.25">
      <c r="A11" s="131" t="s">
        <v>19</v>
      </c>
      <c r="B11" s="131"/>
      <c r="C11" s="57">
        <v>0.8</v>
      </c>
      <c r="D11" s="43" t="str">
        <f>IF(P10&lt;450,"FT20",IF(P10&lt;550,"FT25",IF(P10&lt;949,"FT40",IF(P10&lt;1299,"FT60",IF(P10&lt;1599,"FT80",IF(P10&lt;1999,"FT100",IF(P10&lt;2699,"FT120",IF(P10&lt;3499,"FT160",IF(P10&lt;5299,"DUAS  FT120",IF(P10&lt;6999," DUAS FT160",IF(P10&lt;10500,"TRÊS  FT160",IF(P10&lt;14000,"QUATRO  FT 160",IF(P10&lt;25000,"CINCO  FT160",)))))))))))))</f>
        <v>FT25</v>
      </c>
      <c r="E11" s="44"/>
      <c r="F11" s="44"/>
      <c r="G11" s="44"/>
      <c r="H11" s="44"/>
      <c r="I11" s="45" t="str">
        <f>IF(C12&lt;11,"COM DEGELO",IF(C12&lt;&gt;11,"  "))</f>
        <v xml:space="preserve">  </v>
      </c>
      <c r="K11" s="23" t="s">
        <v>37</v>
      </c>
      <c r="L11" t="s">
        <v>38</v>
      </c>
      <c r="N11" s="23" t="s">
        <v>37</v>
      </c>
      <c r="O11" t="s">
        <v>38</v>
      </c>
      <c r="P11" s="16">
        <v>0</v>
      </c>
      <c r="Q11" s="120">
        <v>25</v>
      </c>
      <c r="R11" s="16">
        <v>2700</v>
      </c>
      <c r="S11" s="120">
        <v>160</v>
      </c>
    </row>
    <row r="12" spans="1:19" ht="33.75" customHeight="1" x14ac:dyDescent="0.25">
      <c r="A12" s="132" t="s">
        <v>36</v>
      </c>
      <c r="B12" s="133"/>
      <c r="C12" s="58">
        <v>25</v>
      </c>
      <c r="D12" s="128" t="s">
        <v>35</v>
      </c>
      <c r="E12" s="129"/>
      <c r="F12" s="129"/>
      <c r="G12" s="129"/>
      <c r="H12" s="129"/>
      <c r="I12" s="134"/>
      <c r="K12">
        <v>0</v>
      </c>
      <c r="L12" s="65">
        <f>(C10-C12+20)*(5*D9+I9*2)/7</f>
        <v>417.85714285714283</v>
      </c>
      <c r="N12">
        <v>16</v>
      </c>
      <c r="O12">
        <v>1262</v>
      </c>
      <c r="P12" s="16" t="s">
        <v>40</v>
      </c>
      <c r="Q12" s="120"/>
      <c r="R12" s="16" t="s">
        <v>40</v>
      </c>
      <c r="S12" s="120"/>
    </row>
    <row r="13" spans="1:19" ht="33" customHeight="1" x14ac:dyDescent="0.25">
      <c r="A13" s="132" t="s">
        <v>25</v>
      </c>
      <c r="B13" s="133"/>
      <c r="C13" s="59">
        <v>4.5</v>
      </c>
      <c r="D13" s="43" t="str">
        <f>IF(R10&lt;220,"FT20",IF(R10&lt;399,"FT25",IF(R10&lt;799,"FT40",IF(R10&lt;1149,"FT60",IF(R10&lt;1399,"FT80",IF(R10&lt;1799,"FT100",IF(R10&lt;2299,"FT120",IF(R10&lt;3499,"FT160",IF(R10&lt;4499,"DUAS FT120",IF(R10&lt;7099,"DUAS  FT160",IF(R10&lt;10000,"TRÊS  FT160",IF(R10&lt;13500,"QUATRO  FT160",IF(R10&lt;21000,"CINCO  FT160",)))))))))))))</f>
        <v>FT40</v>
      </c>
      <c r="E13" s="42"/>
      <c r="F13" s="42"/>
      <c r="G13" s="42"/>
      <c r="H13" s="42"/>
      <c r="I13" s="45" t="str">
        <f>IF(C12&lt;11,"COM DEGELO",+IF(C12&lt;&gt;11,"  "))</f>
        <v xml:space="preserve">  </v>
      </c>
      <c r="K13">
        <v>1</v>
      </c>
      <c r="L13">
        <v>1818</v>
      </c>
      <c r="N13">
        <v>17</v>
      </c>
      <c r="O13">
        <v>1224</v>
      </c>
      <c r="P13" s="16">
        <v>399</v>
      </c>
      <c r="Q13" s="120"/>
      <c r="R13" s="16">
        <v>4499</v>
      </c>
      <c r="S13" s="120"/>
    </row>
    <row r="14" spans="1:19" ht="45" customHeight="1" x14ac:dyDescent="0.25">
      <c r="A14" s="6" t="s">
        <v>34</v>
      </c>
      <c r="B14" s="10" t="s">
        <v>20</v>
      </c>
      <c r="C14" s="10" t="s">
        <v>31</v>
      </c>
      <c r="D14" s="15" t="s">
        <v>32</v>
      </c>
      <c r="F14" t="s">
        <v>16</v>
      </c>
      <c r="G14" s="68" t="s">
        <v>46</v>
      </c>
      <c r="H14" s="25"/>
      <c r="I14" s="15" t="s">
        <v>33</v>
      </c>
      <c r="K14">
        <v>2</v>
      </c>
      <c r="L14">
        <v>1781</v>
      </c>
      <c r="N14">
        <v>18</v>
      </c>
      <c r="O14">
        <v>1187</v>
      </c>
      <c r="P14" s="16">
        <v>400</v>
      </c>
      <c r="Q14" s="120">
        <v>40</v>
      </c>
      <c r="R14" s="16">
        <v>4500</v>
      </c>
      <c r="S14" s="120" t="s">
        <v>41</v>
      </c>
    </row>
    <row r="15" spans="1:19" ht="19.5" customHeight="1" x14ac:dyDescent="0.25">
      <c r="A15" s="72" t="s">
        <v>65</v>
      </c>
      <c r="B15" s="53">
        <v>32</v>
      </c>
      <c r="C15" s="9">
        <f>F15*D9*0.4</f>
        <v>45.72</v>
      </c>
      <c r="D15" s="8">
        <f>C11*C15</f>
        <v>36.576000000000001</v>
      </c>
      <c r="E15" s="2" t="s">
        <v>0</v>
      </c>
      <c r="F15" s="69">
        <f>(C10+3-B15)*4+N7-N3</f>
        <v>7.62</v>
      </c>
      <c r="G15" s="73">
        <v>0.4</v>
      </c>
      <c r="I15" s="14">
        <f>C15/7*3*C13</f>
        <v>88.174285714285716</v>
      </c>
      <c r="K15">
        <v>3</v>
      </c>
      <c r="L15">
        <v>1744</v>
      </c>
      <c r="N15">
        <v>19</v>
      </c>
      <c r="O15">
        <v>1150</v>
      </c>
      <c r="P15" s="16" t="s">
        <v>40</v>
      </c>
      <c r="Q15" s="120"/>
      <c r="R15" s="16" t="s">
        <v>40</v>
      </c>
      <c r="S15" s="120"/>
    </row>
    <row r="16" spans="1:19" ht="18.75" hidden="1" x14ac:dyDescent="0.25">
      <c r="A16" s="72" t="s">
        <v>1</v>
      </c>
      <c r="B16" s="53">
        <f>B15</f>
        <v>32</v>
      </c>
      <c r="C16" s="9">
        <f>C15</f>
        <v>45.72</v>
      </c>
      <c r="D16" s="8">
        <f>C16*C11</f>
        <v>36.576000000000001</v>
      </c>
      <c r="E16" s="3" t="s">
        <v>1</v>
      </c>
      <c r="F16" s="69">
        <f>(C10+3-B16)*3+N7-N3</f>
        <v>6.62</v>
      </c>
      <c r="G16" s="73">
        <v>0.4</v>
      </c>
      <c r="I16" s="8">
        <f>C16/7*3*C13</f>
        <v>88.174285714285716</v>
      </c>
      <c r="K16">
        <v>4</v>
      </c>
      <c r="L16">
        <v>1707</v>
      </c>
      <c r="N16">
        <v>20</v>
      </c>
      <c r="O16">
        <v>1113</v>
      </c>
      <c r="P16" s="16">
        <v>849</v>
      </c>
      <c r="Q16" s="120"/>
      <c r="R16" s="16">
        <v>6299</v>
      </c>
      <c r="S16" s="120"/>
    </row>
    <row r="17" spans="1:19" ht="18.75" hidden="1" x14ac:dyDescent="0.25">
      <c r="A17" s="72" t="s">
        <v>2</v>
      </c>
      <c r="B17" s="53">
        <f>B15</f>
        <v>32</v>
      </c>
      <c r="C17" s="9">
        <f>C15</f>
        <v>45.72</v>
      </c>
      <c r="D17" s="8">
        <f>C17*C11</f>
        <v>36.576000000000001</v>
      </c>
      <c r="E17" s="2" t="s">
        <v>2</v>
      </c>
      <c r="F17" s="69">
        <f>(C10+3-B17)*3+N7-N3</f>
        <v>6.62</v>
      </c>
      <c r="G17" s="73">
        <v>0.45</v>
      </c>
      <c r="I17" s="8">
        <f>C17/7*3*C13</f>
        <v>88.174285714285716</v>
      </c>
      <c r="K17">
        <v>5</v>
      </c>
      <c r="L17">
        <v>1670</v>
      </c>
      <c r="N17">
        <v>21</v>
      </c>
      <c r="O17">
        <v>1076</v>
      </c>
      <c r="P17" s="16">
        <v>850</v>
      </c>
      <c r="Q17" s="120">
        <v>60</v>
      </c>
      <c r="R17" s="16">
        <v>6300</v>
      </c>
      <c r="S17" s="120" t="s">
        <v>42</v>
      </c>
    </row>
    <row r="18" spans="1:19" ht="18.75" x14ac:dyDescent="0.25">
      <c r="A18" s="72" t="s">
        <v>68</v>
      </c>
      <c r="B18" s="53">
        <v>22</v>
      </c>
      <c r="C18" s="9">
        <f>F18*D9*0.5</f>
        <v>357.15</v>
      </c>
      <c r="D18" s="8">
        <f>C18*C11</f>
        <v>285.71999999999997</v>
      </c>
      <c r="E18" s="3" t="s">
        <v>3</v>
      </c>
      <c r="F18" s="69">
        <f>(C10+3-B18)*4+N7-N3</f>
        <v>47.62</v>
      </c>
      <c r="G18" s="73">
        <v>0.45</v>
      </c>
      <c r="I18" s="8">
        <f>C18/7*3*C13</f>
        <v>688.7892857142856</v>
      </c>
      <c r="K18">
        <v>6</v>
      </c>
      <c r="L18">
        <v>1633</v>
      </c>
      <c r="N18">
        <v>22</v>
      </c>
      <c r="O18">
        <v>1039</v>
      </c>
      <c r="P18" s="16" t="s">
        <v>40</v>
      </c>
      <c r="Q18" s="120"/>
      <c r="R18" s="16" t="s">
        <v>40</v>
      </c>
      <c r="S18" s="120"/>
    </row>
    <row r="19" spans="1:19" ht="18.75" hidden="1" x14ac:dyDescent="0.25">
      <c r="A19" s="72" t="s">
        <v>4</v>
      </c>
      <c r="B19" s="53">
        <f>B18</f>
        <v>22</v>
      </c>
      <c r="C19" s="9">
        <f>C18</f>
        <v>357.15</v>
      </c>
      <c r="D19" s="8">
        <f>C19*C11</f>
        <v>285.71999999999997</v>
      </c>
      <c r="E19" s="2" t="s">
        <v>4</v>
      </c>
      <c r="F19" s="69">
        <f>(C10+4-B19)*3+N7-N3</f>
        <v>39.619999999999997</v>
      </c>
      <c r="G19" s="73">
        <v>0.46</v>
      </c>
      <c r="I19" s="8">
        <f>C19/7*3*C13</f>
        <v>688.7892857142856</v>
      </c>
      <c r="K19">
        <v>7</v>
      </c>
      <c r="L19">
        <v>1596</v>
      </c>
      <c r="N19">
        <v>23</v>
      </c>
      <c r="O19">
        <v>1002</v>
      </c>
      <c r="P19" s="16">
        <v>1299</v>
      </c>
      <c r="Q19" s="120"/>
      <c r="R19" s="16">
        <v>9999</v>
      </c>
      <c r="S19" s="120"/>
    </row>
    <row r="20" spans="1:19" ht="18.75" hidden="1" x14ac:dyDescent="0.25">
      <c r="A20" s="72" t="s">
        <v>5</v>
      </c>
      <c r="B20" s="53">
        <f>B18</f>
        <v>22</v>
      </c>
      <c r="C20" s="9">
        <f>C18</f>
        <v>357.15</v>
      </c>
      <c r="D20" s="54">
        <f>C11*C20</f>
        <v>285.71999999999997</v>
      </c>
      <c r="E20" s="3" t="s">
        <v>5</v>
      </c>
      <c r="F20" s="69">
        <f>(C10+5-B20)*3+N7-N3</f>
        <v>42.62</v>
      </c>
      <c r="G20" s="73">
        <v>0.5</v>
      </c>
      <c r="I20" s="8">
        <f>C20/7*3*C13</f>
        <v>688.7892857142856</v>
      </c>
      <c r="K20">
        <v>8</v>
      </c>
      <c r="L20">
        <v>1559</v>
      </c>
      <c r="N20">
        <v>24</v>
      </c>
      <c r="O20">
        <v>965</v>
      </c>
      <c r="P20" s="16">
        <v>1300</v>
      </c>
      <c r="Q20" s="120">
        <v>80</v>
      </c>
      <c r="R20" s="16">
        <v>10000</v>
      </c>
      <c r="S20" s="120" t="s">
        <v>43</v>
      </c>
    </row>
    <row r="21" spans="1:19" ht="18.75" x14ac:dyDescent="0.25">
      <c r="A21" s="72" t="s">
        <v>66</v>
      </c>
      <c r="B21" s="53">
        <v>18</v>
      </c>
      <c r="C21" s="9">
        <f>F21*D9*0.6</f>
        <v>721.07999999999993</v>
      </c>
      <c r="D21" s="8">
        <f>C21*C11</f>
        <v>576.86399999999992</v>
      </c>
      <c r="E21" s="2" t="s">
        <v>6</v>
      </c>
      <c r="F21" s="69">
        <f>(C10+5-B21)*4.5+N7-N3</f>
        <v>80.11999999999999</v>
      </c>
      <c r="G21" s="73">
        <v>0.6</v>
      </c>
      <c r="I21" s="8">
        <f>C21/7*3*C13</f>
        <v>1390.6542857142858</v>
      </c>
      <c r="K21">
        <v>9</v>
      </c>
      <c r="L21">
        <v>1521</v>
      </c>
      <c r="N21">
        <v>25</v>
      </c>
      <c r="O21">
        <v>928</v>
      </c>
      <c r="P21" s="16" t="s">
        <v>40</v>
      </c>
      <c r="Q21" s="120"/>
      <c r="R21" s="16" t="s">
        <v>40</v>
      </c>
      <c r="S21" s="120"/>
    </row>
    <row r="22" spans="1:19" ht="18.75" hidden="1" x14ac:dyDescent="0.25">
      <c r="A22" s="72" t="s">
        <v>7</v>
      </c>
      <c r="B22" s="53">
        <f>B21</f>
        <v>18</v>
      </c>
      <c r="C22" s="9">
        <f>C21</f>
        <v>721.07999999999993</v>
      </c>
      <c r="D22" s="8">
        <f>C11*C22</f>
        <v>576.86399999999992</v>
      </c>
      <c r="E22" s="3" t="s">
        <v>7</v>
      </c>
      <c r="F22" s="69">
        <f>(C10+4-B22)*3+N7-N3</f>
        <v>51.62</v>
      </c>
      <c r="G22" s="73">
        <v>0.6</v>
      </c>
      <c r="I22" s="8">
        <f>C22/7*3*C13</f>
        <v>1390.6542857142858</v>
      </c>
      <c r="K22">
        <v>10</v>
      </c>
      <c r="L22">
        <v>1484</v>
      </c>
      <c r="N22">
        <v>26</v>
      </c>
      <c r="O22">
        <v>890</v>
      </c>
      <c r="P22" s="16">
        <v>1599</v>
      </c>
      <c r="Q22" s="120"/>
      <c r="R22" s="16">
        <v>15000</v>
      </c>
      <c r="S22" s="120"/>
    </row>
    <row r="23" spans="1:19" ht="18.75" hidden="1" x14ac:dyDescent="0.25">
      <c r="A23" s="72" t="s">
        <v>8</v>
      </c>
      <c r="B23" s="53">
        <f>B21</f>
        <v>18</v>
      </c>
      <c r="C23" s="9">
        <f>C21</f>
        <v>721.07999999999993</v>
      </c>
      <c r="D23" s="8">
        <f>C23*C11</f>
        <v>576.86399999999992</v>
      </c>
      <c r="E23" s="2" t="s">
        <v>8</v>
      </c>
      <c r="F23" s="69">
        <f>(C10+3.5-B23)*3+N7-N3</f>
        <v>50.12</v>
      </c>
      <c r="G23" s="73">
        <v>0.55000000000000004</v>
      </c>
      <c r="I23" s="8">
        <f>C23/7*3*C13</f>
        <v>1390.6542857142858</v>
      </c>
      <c r="K23">
        <v>11</v>
      </c>
      <c r="L23">
        <v>1447</v>
      </c>
      <c r="N23">
        <v>27</v>
      </c>
      <c r="O23">
        <v>853</v>
      </c>
      <c r="P23" s="16">
        <v>1600</v>
      </c>
      <c r="Q23" s="120">
        <v>100</v>
      </c>
    </row>
    <row r="24" spans="1:19" ht="19.5" thickBot="1" x14ac:dyDescent="0.3">
      <c r="A24" s="72" t="s">
        <v>67</v>
      </c>
      <c r="B24" s="53">
        <v>22</v>
      </c>
      <c r="C24" s="9">
        <f>F24*D9*0.5</f>
        <v>372.15</v>
      </c>
      <c r="D24" s="8">
        <f>C11*C24</f>
        <v>297.71999999999997</v>
      </c>
      <c r="E24" s="3" t="s">
        <v>9</v>
      </c>
      <c r="F24" s="69">
        <f>(C10+3.5-B24)*4+N7-N3</f>
        <v>49.62</v>
      </c>
      <c r="G24" s="73">
        <v>0.5</v>
      </c>
      <c r="I24" s="8">
        <f>C24/7*3*C13</f>
        <v>717.71785714285716</v>
      </c>
      <c r="K24">
        <v>12</v>
      </c>
      <c r="L24">
        <v>1410</v>
      </c>
      <c r="N24">
        <v>28</v>
      </c>
      <c r="O24">
        <v>816</v>
      </c>
      <c r="P24" s="16" t="s">
        <v>40</v>
      </c>
      <c r="Q24" s="120"/>
    </row>
    <row r="25" spans="1:19" ht="18.75" hidden="1" x14ac:dyDescent="0.25">
      <c r="A25" s="2" t="s">
        <v>10</v>
      </c>
      <c r="B25" s="53">
        <f>B24</f>
        <v>22</v>
      </c>
      <c r="C25" s="9">
        <f>C24</f>
        <v>372.15</v>
      </c>
      <c r="D25" s="8">
        <f>C25*C11</f>
        <v>297.71999999999997</v>
      </c>
      <c r="E25" s="2" t="s">
        <v>10</v>
      </c>
      <c r="F25" s="5">
        <f>(C10+3-B25)*3+N7-N3</f>
        <v>36.619999999999997</v>
      </c>
      <c r="G25" s="69">
        <v>0.4</v>
      </c>
      <c r="I25" s="8">
        <f>C25/7*3*C13</f>
        <v>717.71785714285716</v>
      </c>
      <c r="K25">
        <v>13</v>
      </c>
      <c r="L25">
        <v>1373</v>
      </c>
      <c r="N25">
        <v>29</v>
      </c>
      <c r="O25">
        <v>779</v>
      </c>
      <c r="P25" s="16">
        <v>1999</v>
      </c>
      <c r="Q25" s="120"/>
    </row>
    <row r="26" spans="1:19" ht="18.75" hidden="1" x14ac:dyDescent="0.25">
      <c r="A26" s="3" t="s">
        <v>11</v>
      </c>
      <c r="B26" s="53">
        <f>B24</f>
        <v>22</v>
      </c>
      <c r="C26" s="9">
        <f>C24</f>
        <v>372.15</v>
      </c>
      <c r="D26" s="8">
        <f>C11*C26</f>
        <v>297.71999999999997</v>
      </c>
      <c r="E26" s="11" t="s">
        <v>11</v>
      </c>
      <c r="F26" s="5">
        <f>(C10+3-B26)*3+N7-N3</f>
        <v>36.619999999999997</v>
      </c>
      <c r="G26" s="69">
        <v>0.4</v>
      </c>
      <c r="I26" s="8">
        <f>C26/7*3*C13</f>
        <v>717.71785714285716</v>
      </c>
      <c r="K26">
        <v>14</v>
      </c>
      <c r="L26">
        <v>1336</v>
      </c>
      <c r="N26">
        <v>30</v>
      </c>
      <c r="O26">
        <v>742</v>
      </c>
      <c r="P26" s="16">
        <v>2000</v>
      </c>
      <c r="Q26" s="120">
        <v>120</v>
      </c>
    </row>
    <row r="27" spans="1:19" ht="15.75" hidden="1" thickBot="1" x14ac:dyDescent="0.3">
      <c r="C27" s="12">
        <f>SUM(C15:C26)</f>
        <v>4488.2999999999993</v>
      </c>
      <c r="D27" s="13">
        <f>SUM(D15:D26)</f>
        <v>3590.6399999999994</v>
      </c>
      <c r="I27" s="19"/>
      <c r="P27" s="16" t="s">
        <v>40</v>
      </c>
      <c r="Q27" s="120"/>
    </row>
    <row r="28" spans="1:19" ht="27.75" customHeight="1" thickBot="1" x14ac:dyDescent="0.3">
      <c r="A28" s="116" t="s">
        <v>24</v>
      </c>
      <c r="B28" s="117"/>
      <c r="C28" s="41">
        <f>C27/12</f>
        <v>374.02499999999992</v>
      </c>
      <c r="D28" s="38">
        <f>D27/12</f>
        <v>299.21999999999997</v>
      </c>
      <c r="E28" s="39"/>
      <c r="F28" s="39"/>
      <c r="G28" s="70"/>
      <c r="H28" s="39"/>
      <c r="I28" s="40">
        <f>C28/7*3*C13</f>
        <v>721.33392857142837</v>
      </c>
      <c r="K28">
        <v>15</v>
      </c>
      <c r="L28">
        <v>1299</v>
      </c>
      <c r="N28">
        <v>31</v>
      </c>
      <c r="O28">
        <v>705</v>
      </c>
      <c r="P28" s="16" t="s">
        <v>44</v>
      </c>
      <c r="Q28" s="120"/>
    </row>
    <row r="29" spans="1:19" x14ac:dyDescent="0.25">
      <c r="Q29" s="24"/>
    </row>
    <row r="30" spans="1:19" ht="27.75" hidden="1" customHeight="1" x14ac:dyDescent="0.25">
      <c r="A30" s="160" t="s">
        <v>57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Q30" s="24"/>
    </row>
    <row r="31" spans="1:19" ht="25.5" hidden="1" customHeight="1" x14ac:dyDescent="0.25">
      <c r="A31" s="163" t="s">
        <v>56</v>
      </c>
      <c r="B31" s="164"/>
      <c r="C31" s="164"/>
      <c r="D31" s="165" t="s">
        <v>64</v>
      </c>
      <c r="E31" s="165"/>
      <c r="F31" s="165"/>
      <c r="G31" s="165"/>
      <c r="H31" s="165"/>
      <c r="I31" s="165"/>
      <c r="J31" s="165"/>
      <c r="K31" s="165"/>
      <c r="L31" s="166"/>
      <c r="Q31" s="24"/>
    </row>
    <row r="32" spans="1:19" ht="31.5" hidden="1" x14ac:dyDescent="0.3">
      <c r="A32" s="167" t="s">
        <v>59</v>
      </c>
      <c r="B32" s="168"/>
      <c r="C32" s="61">
        <v>6000</v>
      </c>
      <c r="D32" s="169">
        <f>(C33-C32)/(I28-D28)</f>
        <v>14.214172037170066</v>
      </c>
      <c r="E32" s="60"/>
      <c r="F32" s="60"/>
      <c r="G32" s="71"/>
      <c r="H32" s="60"/>
      <c r="I32" s="171" t="s">
        <v>58</v>
      </c>
      <c r="J32" s="60"/>
      <c r="K32" s="60"/>
      <c r="L32" s="170" t="s">
        <v>58</v>
      </c>
      <c r="Q32" s="24"/>
    </row>
    <row r="33" spans="1:17" ht="31.5" hidden="1" x14ac:dyDescent="0.3">
      <c r="A33" s="163" t="s">
        <v>60</v>
      </c>
      <c r="B33" s="164"/>
      <c r="C33" s="62">
        <v>12000</v>
      </c>
      <c r="D33" s="169"/>
      <c r="E33" s="60"/>
      <c r="F33" s="60"/>
      <c r="G33" s="71"/>
      <c r="H33" s="60"/>
      <c r="I33" s="172"/>
      <c r="J33" s="60"/>
      <c r="K33" s="60"/>
      <c r="L33" s="170"/>
      <c r="Q33" s="24"/>
    </row>
    <row r="34" spans="1:17" ht="32.25" hidden="1" thickBot="1" x14ac:dyDescent="0.3">
      <c r="A34" s="155" t="s">
        <v>61</v>
      </c>
      <c r="B34" s="156"/>
      <c r="C34" s="156"/>
      <c r="D34" s="157">
        <f>(120-D32)*(I28-D28)-(C33-C32)</f>
        <v>38653.671428571404</v>
      </c>
      <c r="E34" s="158"/>
      <c r="F34" s="158"/>
      <c r="G34" s="158"/>
      <c r="H34" s="158"/>
      <c r="I34" s="158"/>
      <c r="J34" s="158"/>
      <c r="K34" s="158"/>
      <c r="L34" s="159"/>
      <c r="Q34" s="24"/>
    </row>
    <row r="35" spans="1:17" x14ac:dyDescent="0.25">
      <c r="A35" s="1" t="s">
        <v>74</v>
      </c>
      <c r="Q35" s="24"/>
    </row>
  </sheetData>
  <sheetProtection algorithmName="SHA-512" hashValue="7m7I61QIKZucrMPH9E3C0FUsjaEQM8FMKRoWNNZe0Lh9xT6ZVZA1KuQgxXPu/EcFZZ6XoJ4v/mpeomjHw/2TEA==" saltValue="Ho+WwyxA5043yZosJS77TA==" spinCount="100000" sheet="1" objects="1" scenarios="1" selectLockedCells="1"/>
  <mergeCells count="40">
    <mergeCell ref="A34:C34"/>
    <mergeCell ref="D34:L34"/>
    <mergeCell ref="A30:L30"/>
    <mergeCell ref="A31:C31"/>
    <mergeCell ref="D31:L31"/>
    <mergeCell ref="A32:B32"/>
    <mergeCell ref="D32:D33"/>
    <mergeCell ref="L32:L33"/>
    <mergeCell ref="A33:B33"/>
    <mergeCell ref="I32:I33"/>
    <mergeCell ref="A2:A3"/>
    <mergeCell ref="C2:I2"/>
    <mergeCell ref="C3:I3"/>
    <mergeCell ref="A10:B10"/>
    <mergeCell ref="D10:I10"/>
    <mergeCell ref="C6:I6"/>
    <mergeCell ref="C7:I7"/>
    <mergeCell ref="C1:I1"/>
    <mergeCell ref="S20:S22"/>
    <mergeCell ref="S11:S13"/>
    <mergeCell ref="S14:S16"/>
    <mergeCell ref="B4:I4"/>
    <mergeCell ref="B5:I5"/>
    <mergeCell ref="K10:O10"/>
    <mergeCell ref="P10:Q10"/>
    <mergeCell ref="P9:Q9"/>
    <mergeCell ref="R9:S9"/>
    <mergeCell ref="R10:S10"/>
    <mergeCell ref="S17:S19"/>
    <mergeCell ref="Q20:Q22"/>
    <mergeCell ref="A28:B28"/>
    <mergeCell ref="Q14:Q16"/>
    <mergeCell ref="A11:B11"/>
    <mergeCell ref="Q11:Q13"/>
    <mergeCell ref="Q17:Q19"/>
    <mergeCell ref="A12:B12"/>
    <mergeCell ref="A13:B13"/>
    <mergeCell ref="D12:I12"/>
    <mergeCell ref="Q23:Q25"/>
    <mergeCell ref="Q26:Q28"/>
  </mergeCells>
  <dataValidations count="7">
    <dataValidation type="whole" operator="greaterThan" allowBlank="1" showInputMessage="1" showErrorMessage="1" error="VALOR PERMITIDO ENTRE 15 E 35 PARA PISCINAS ABERTAS" sqref="C12">
      <formula1>14</formula1>
    </dataValidation>
    <dataValidation type="whole" allowBlank="1" showInputMessage="1" showErrorMessage="1" error="VALOR MAXIMO 35" sqref="C10">
      <formula1>15</formula1>
      <formula2>35</formula2>
    </dataValidation>
    <dataValidation type="whole" operator="greaterThanOrEqual" allowBlank="1" showInputMessage="1" showErrorMessage="1" error="VALOR PERMITIDO MAIOR QUE 15°C PARA PISCINA ABERTA" sqref="B15:B26">
      <formula1>0</formula1>
    </dataValidation>
    <dataValidation type="whole" allowBlank="1" showInputMessage="1" showErrorMessage="1" error="VALOR PERMITIDO  &quot;0&quot;, &quot;1&quot; OU &quot;3&quot;." sqref="B6">
      <formula1>1</formula1>
      <formula2>3</formula2>
    </dataValidation>
    <dataValidation type="whole" allowBlank="1" showInputMessage="1" showErrorMessage="1" error="VALOR ENTRE 1 E 12 DE ACORDO COM HORAS DE SOL" sqref="B7">
      <formula1>1</formula1>
      <formula2>12</formula2>
    </dataValidation>
    <dataValidation type="whole" allowBlank="1" showInputMessage="1" showErrorMessage="1" sqref="C33">
      <formula1>1000</formula1>
      <formula2>1000000</formula2>
    </dataValidation>
    <dataValidation type="whole" allowBlank="1" showInputMessage="1" showErrorMessage="1" sqref="C32">
      <formula1>100</formula1>
      <formula2>100000</formula2>
    </dataValidation>
  </dataValidations>
  <pageMargins left="0.511811024" right="0.511811024" top="0.78740157499999996" bottom="0.78740157499999996" header="0.31496062000000002" footer="0.31496062000000002"/>
  <pageSetup paperSize="1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FECHADA</vt:lpstr>
      <vt:lpstr>ABERTA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user</cp:lastModifiedBy>
  <cp:lastPrinted>2016-08-17T22:49:13Z</cp:lastPrinted>
  <dcterms:created xsi:type="dcterms:W3CDTF">2016-06-05T20:23:20Z</dcterms:created>
  <dcterms:modified xsi:type="dcterms:W3CDTF">2020-07-02T11:45:36Z</dcterms:modified>
</cp:coreProperties>
</file>